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ardo\Desktop\Proyecto Beatriz\Curso\"/>
    </mc:Choice>
  </mc:AlternateContent>
  <xr:revisionPtr revIDLastSave="0" documentId="8_{4CC7D9A6-5D5D-4C12-A8B0-A3C20ED2A45D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Complementaria 1" sheetId="1" state="hidden" r:id="rId1"/>
    <sheet name="QUIZ" sheetId="6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6" l="1"/>
  <c r="D12" i="6" l="1"/>
  <c r="D14" i="6"/>
  <c r="C14" i="6"/>
  <c r="C15" i="6" s="1"/>
  <c r="F20" i="6"/>
  <c r="F7" i="6"/>
  <c r="F8" i="6"/>
  <c r="D36" i="6"/>
  <c r="C36" i="6"/>
  <c r="C27" i="6"/>
  <c r="D11" i="6"/>
  <c r="C11" i="6"/>
  <c r="C20" i="6" l="1"/>
  <c r="F12" i="6"/>
  <c r="D15" i="6"/>
  <c r="D26" i="6" s="1"/>
  <c r="C34" i="6"/>
  <c r="C33" i="6"/>
  <c r="D27" i="6" l="1"/>
  <c r="D33" i="6" s="1"/>
  <c r="F33" i="6" s="1"/>
  <c r="F15" i="6"/>
  <c r="D20" i="6"/>
  <c r="D34" i="6" l="1"/>
  <c r="F34" i="6" l="1"/>
  <c r="C46" i="6" s="1"/>
  <c r="C47" i="6" l="1"/>
  <c r="C62" i="6" s="1"/>
  <c r="C52" i="6"/>
  <c r="C51" i="6"/>
  <c r="C53" i="6"/>
  <c r="F53" i="6" s="1"/>
  <c r="D62" i="6" l="1"/>
  <c r="C67" i="6"/>
  <c r="C66" i="6"/>
  <c r="D66" i="6"/>
  <c r="D67" i="6"/>
  <c r="D52" i="6"/>
  <c r="F52" i="6" s="1"/>
  <c r="D51" i="6"/>
  <c r="F51" i="6" l="1"/>
  <c r="C38" i="6"/>
  <c r="C42" i="6" s="1"/>
  <c r="C44" i="6" s="1"/>
  <c r="C56" i="6" s="1"/>
  <c r="D38" i="6"/>
  <c r="D42" i="6" s="1"/>
  <c r="D44" i="6" s="1"/>
  <c r="D56" i="6" s="1"/>
  <c r="C13" i="1"/>
  <c r="E13" i="1"/>
  <c r="C40" i="6" l="1"/>
  <c r="D40" i="6"/>
  <c r="F24" i="1"/>
  <c r="G24" i="1"/>
  <c r="D11" i="1"/>
  <c r="E11" i="1"/>
  <c r="F11" i="1"/>
  <c r="G11" i="1"/>
  <c r="C11" i="1"/>
  <c r="E24" i="1"/>
  <c r="D24" i="1"/>
  <c r="C24" i="1"/>
  <c r="G13" i="1"/>
  <c r="G14" i="1" s="1"/>
  <c r="F13" i="1"/>
  <c r="F14" i="1" s="1"/>
  <c r="E14" i="1"/>
  <c r="D13" i="1"/>
  <c r="D14" i="1" s="1"/>
  <c r="C14" i="1"/>
  <c r="I8" i="1"/>
  <c r="I7" i="1"/>
  <c r="I16" i="1" l="1"/>
  <c r="I14" i="1"/>
  <c r="I17" i="1" s="1"/>
  <c r="I19" i="1" s="1"/>
  <c r="I35" i="1" s="1"/>
  <c r="F19" i="1" l="1"/>
  <c r="F35" i="1" s="1"/>
  <c r="E19" i="1"/>
  <c r="E37" i="1" s="1"/>
  <c r="I20" i="1"/>
  <c r="D22" i="1" s="1"/>
  <c r="D19" i="1"/>
  <c r="C19" i="1"/>
  <c r="G19" i="1"/>
  <c r="I22" i="1"/>
  <c r="F22" i="1"/>
  <c r="G22" i="1"/>
  <c r="E22" i="1"/>
  <c r="C22" i="1"/>
  <c r="D35" i="1"/>
  <c r="G35" i="1"/>
  <c r="E35" i="1" l="1"/>
  <c r="G26" i="1"/>
  <c r="G30" i="1" s="1"/>
  <c r="G32" i="1" s="1"/>
  <c r="G36" i="1" s="1"/>
  <c r="G28" i="1"/>
  <c r="C35" i="1"/>
  <c r="K35" i="1" s="1"/>
  <c r="C26" i="1"/>
  <c r="C30" i="1" s="1"/>
  <c r="C32" i="1" s="1"/>
  <c r="C36" i="1" s="1"/>
  <c r="C28" i="1"/>
  <c r="F26" i="1"/>
  <c r="F30" i="1" s="1"/>
  <c r="F32" i="1" s="1"/>
  <c r="F36" i="1" s="1"/>
  <c r="E26" i="1"/>
  <c r="E30" i="1" s="1"/>
  <c r="E32" i="1" s="1"/>
  <c r="E36" i="1" s="1"/>
  <c r="D26" i="1"/>
  <c r="D28" i="1" s="1"/>
  <c r="F28" i="1" l="1"/>
  <c r="E28" i="1"/>
  <c r="D42" i="1"/>
  <c r="D37" i="1" s="1"/>
  <c r="D30" i="1"/>
  <c r="D32" i="1" s="1"/>
  <c r="D36" i="1" s="1"/>
  <c r="I36" i="1" s="1"/>
  <c r="I38" i="1" s="1"/>
  <c r="C42" i="1"/>
  <c r="C37" i="1" s="1"/>
  <c r="E42" i="1"/>
  <c r="I37" i="1" l="1"/>
  <c r="G52" i="6" l="1"/>
  <c r="F58" i="6" l="1"/>
  <c r="F54" i="6"/>
</calcChain>
</file>

<file path=xl/sharedStrings.xml><?xml version="1.0" encoding="utf-8"?>
<sst xmlns="http://schemas.openxmlformats.org/spreadsheetml/2006/main" count="105" uniqueCount="80">
  <si>
    <t>Producto 1</t>
  </si>
  <si>
    <t>Producto 2</t>
  </si>
  <si>
    <t>Producto 3</t>
  </si>
  <si>
    <t>Producto 4</t>
  </si>
  <si>
    <t>Producto 5</t>
  </si>
  <si>
    <t>Demanda u/dia</t>
  </si>
  <si>
    <t>desviación u/dia</t>
  </si>
  <si>
    <t>Tiempo de entrega(días)</t>
  </si>
  <si>
    <t>Costo de producto $/u.</t>
  </si>
  <si>
    <t>Costo mantener %/u-año</t>
  </si>
  <si>
    <t>Costo ordenar Si $</t>
  </si>
  <si>
    <t>Costo ordenar común  O  $</t>
  </si>
  <si>
    <t>Dias de venta al año</t>
  </si>
  <si>
    <t>Prob. Existencias (Tipo 2)</t>
  </si>
  <si>
    <t>z</t>
  </si>
  <si>
    <t>L(Z)</t>
  </si>
  <si>
    <t>D anual</t>
  </si>
  <si>
    <t>C*D anual</t>
  </si>
  <si>
    <t>numerador</t>
  </si>
  <si>
    <t>denominador</t>
  </si>
  <si>
    <t>T* Anual</t>
  </si>
  <si>
    <t>T* dias</t>
  </si>
  <si>
    <t>desv T+LT</t>
  </si>
  <si>
    <t>M</t>
  </si>
  <si>
    <t>SS</t>
  </si>
  <si>
    <t>AIL</t>
  </si>
  <si>
    <t>COSTOS</t>
  </si>
  <si>
    <t>TOTAL</t>
  </si>
  <si>
    <t>ORDENAR</t>
  </si>
  <si>
    <t>MANTENER</t>
  </si>
  <si>
    <t>FALTANTES</t>
  </si>
  <si>
    <t>COSTO TOTAL</t>
  </si>
  <si>
    <t>E'()</t>
  </si>
  <si>
    <t>desviación u/día</t>
  </si>
  <si>
    <t>PASO 1</t>
  </si>
  <si>
    <t>HALLAR MIN(Sj/CjDj)</t>
  </si>
  <si>
    <t>PRODUCTO</t>
  </si>
  <si>
    <t>m=1</t>
  </si>
  <si>
    <t>PASO 2</t>
  </si>
  <si>
    <t>HALLAR LOS mj</t>
  </si>
  <si>
    <t>PASO 3</t>
  </si>
  <si>
    <t>HALLAR T*</t>
  </si>
  <si>
    <t>Sj/mj</t>
  </si>
  <si>
    <t>mjCjDj</t>
  </si>
  <si>
    <t>T*</t>
  </si>
  <si>
    <t>años</t>
  </si>
  <si>
    <t>COSTO DE ORDENAR</t>
  </si>
  <si>
    <t>COSTO DE MANTENER</t>
  </si>
  <si>
    <t>Punto 1</t>
  </si>
  <si>
    <t>desv((T*mj)+LT)</t>
  </si>
  <si>
    <t>COSTO DE ORDENAR COMUN</t>
  </si>
  <si>
    <t>COORDINACION FAMILIA ITEMS</t>
  </si>
  <si>
    <t>COSTO TOTAL (ORDENAR +MANTENER)</t>
  </si>
  <si>
    <t>COSTO TOTAL (ORDENAR +MANTENER  + COMPRAR)</t>
  </si>
  <si>
    <t>Costo ordenar común  O  ($)</t>
  </si>
  <si>
    <t>SUMATORIA FILA</t>
  </si>
  <si>
    <t>Costo mantener i (%/u-año)</t>
  </si>
  <si>
    <t>Costo de producto Cj ($/u).</t>
  </si>
  <si>
    <t>Costo ordenar Sj ($)</t>
  </si>
  <si>
    <t>SUMATORIAS DE FILAS</t>
  </si>
  <si>
    <t>H</t>
  </si>
  <si>
    <t>Dj periodo analisis</t>
  </si>
  <si>
    <t>semanas</t>
  </si>
  <si>
    <t>PRODUCTO MIN</t>
  </si>
  <si>
    <t>Demanda (u/semana)</t>
  </si>
  <si>
    <t>Semanas de venta al año</t>
  </si>
  <si>
    <t xml:space="preserve">Cj*Dj </t>
  </si>
  <si>
    <t>PERIODO DE ANALISIS = AÑOS</t>
  </si>
  <si>
    <t>HALLAR COSTOS</t>
  </si>
  <si>
    <t>COSTOS/PRODUCTO</t>
  </si>
  <si>
    <t>PASO 5</t>
  </si>
  <si>
    <t>PASO 4</t>
  </si>
  <si>
    <t>CANTIDAD OEDENAR/PRODUCTO</t>
  </si>
  <si>
    <t>HALLAR Tj</t>
  </si>
  <si>
    <t>FRECUENCIA</t>
  </si>
  <si>
    <t>CANTIDAD A PEDIR</t>
  </si>
  <si>
    <t>Tj</t>
  </si>
  <si>
    <t>HALLAR F Y CATIDAD A PEDIR</t>
  </si>
  <si>
    <t>BONO 0,5</t>
  </si>
  <si>
    <t>PERIODO 1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</si>
</sst>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&quot;$&quot;#,##0"/>
    <numFmt numFmtId="167" formatCode="0.0000"/>
    <numFmt numFmtId="168" formatCode="_ &quot;$&quot;\ * #,##0.00_ ;_ &quot;$&quot;\ * \-#,##0.00_ ;_ &quot;$&quot;\ * &quot;-&quot;??_ ;_ @_ "/>
    <numFmt numFmtId="171" formatCode="0.000000"/>
    <numFmt numFmtId="172" formatCode="&quot;$&quot;\ #,##0.0"/>
    <numFmt numFmtId="173" formatCode="0.000000000"/>
    <numFmt numFmtId="174" formatCode="&quot;$&quot;#,##0.0"/>
    <numFmt numFmtId="175" formatCode="_ &quot;$&quot;\ * #,##0_ ;_ &quot;$&quot;\ * \-#,##0_ ;_ &quot;$&quot;\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20"/>
      <name val="Calibri"/>
      <family val="2"/>
      <scheme val="minor"/>
    </font>
    <font>
      <sz val="14"/>
      <color indexed="1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FFFF0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8" fontId="2" fillId="2" borderId="1" xfId="2" applyFont="1" applyFill="1" applyBorder="1" applyAlignment="1">
      <alignment horizontal="center" vertical="center"/>
    </xf>
    <xf numFmtId="168" fontId="2" fillId="2" borderId="0" xfId="2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8" fontId="2" fillId="2" borderId="0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8" fontId="5" fillId="2" borderId="0" xfId="2" applyFont="1" applyFill="1" applyAlignment="1">
      <alignment horizontal="center" vertical="center"/>
    </xf>
    <xf numFmtId="168" fontId="5" fillId="2" borderId="1" xfId="2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3" fontId="2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4" borderId="0" xfId="0" applyFont="1" applyFill="1"/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171" fontId="12" fillId="2" borderId="1" xfId="0" applyNumberFormat="1" applyFont="1" applyFill="1" applyBorder="1" applyAlignment="1">
      <alignment horizontal="center" vertical="center"/>
    </xf>
    <xf numFmtId="171" fontId="12" fillId="5" borderId="1" xfId="0" applyNumberFormat="1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/>
    </xf>
    <xf numFmtId="175" fontId="12" fillId="3" borderId="1" xfId="2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8" fontId="2" fillId="2" borderId="1" xfId="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" xfId="2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168" fontId="12" fillId="3" borderId="1" xfId="2" applyFont="1" applyFill="1" applyBorder="1" applyAlignment="1">
      <alignment horizontal="center" vertical="center"/>
    </xf>
    <xf numFmtId="172" fontId="12" fillId="3" borderId="1" xfId="0" applyNumberFormat="1" applyFont="1" applyFill="1" applyBorder="1" applyAlignment="1">
      <alignment horizontal="center" vertical="center"/>
    </xf>
    <xf numFmtId="172" fontId="3" fillId="3" borderId="1" xfId="0" applyNumberFormat="1" applyFont="1" applyFill="1" applyBorder="1" applyAlignment="1">
      <alignment horizontal="center" vertical="center"/>
    </xf>
    <xf numFmtId="172" fontId="8" fillId="3" borderId="5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4" fontId="12" fillId="3" borderId="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8" fontId="12" fillId="3" borderId="1" xfId="2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212479</xdr:colOff>
      <xdr:row>45</xdr:row>
      <xdr:rowOff>219806</xdr:rowOff>
    </xdr:from>
    <xdr:to>
      <xdr:col>7</xdr:col>
      <xdr:colOff>605090</xdr:colOff>
      <xdr:row>49</xdr:row>
      <xdr:rowOff>7146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682"/>
        <a:stretch/>
      </xdr:blipFill>
      <xdr:spPr>
        <a:xfrm>
          <a:off x="5714998" y="8242787"/>
          <a:ext cx="3821611" cy="754494"/>
        </a:xfrm>
        <a:prstGeom prst="rect">
          <a:avLst/>
        </a:prstGeom>
      </xdr:spPr>
    </xdr:pic>
    <xdr:clientData/>
  </xdr:twoCellAnchor>
  <xdr:twoCellAnchor editAs="oneCell">
    <xdr:from>
      <xdr:col>4</xdr:col>
      <xdr:colOff>484310</xdr:colOff>
      <xdr:row>59</xdr:row>
      <xdr:rowOff>105508</xdr:rowOff>
    </xdr:from>
    <xdr:to>
      <xdr:col>5</xdr:col>
      <xdr:colOff>1386987</xdr:colOff>
      <xdr:row>60</xdr:row>
      <xdr:rowOff>178045</xdr:rowOff>
    </xdr:to>
    <xdr:sp macro="" textlink="">
      <xdr:nvSpPr>
        <xdr:cNvPr id="2110" name="Object 62" hidden="1">
          <a:extLst>
            <a:ext uri="{63B3BB69-23CF-44E3-9099-C40C66FF867C}">
              <a14:compatExt xmlns:a14="http://schemas.microsoft.com/office/drawing/2010/main" spid="_x0000_s2110"/>
            </a:ext>
            <a:ext uri="{FF2B5EF4-FFF2-40B4-BE49-F238E27FC236}">
              <a16:creationId xmlns:a16="http://schemas.microsoft.com/office/drawing/2014/main" id="{00000000-0008-0000-0500-00003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95250</xdr:rowOff>
        </xdr:from>
        <xdr:to>
          <xdr:col>6</xdr:col>
          <xdr:colOff>190500</xdr:colOff>
          <xdr:row>26</xdr:row>
          <xdr:rowOff>19050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4"/>
  <sheetViews>
    <sheetView workbookViewId="0">
      <selection activeCell="B1" sqref="B1"/>
    </sheetView>
  </sheetViews>
  <sheetFormatPr baseColWidth="10" defaultRowHeight="18.75" x14ac:dyDescent="0.2"/>
  <cols>
    <col min="1" max="1" width="4.42578125" style="2" customWidth="1"/>
    <col min="2" max="2" width="34.5703125" style="2" bestFit="1" customWidth="1"/>
    <col min="3" max="4" width="18.7109375" style="2" bestFit="1" customWidth="1"/>
    <col min="5" max="7" width="18.7109375" style="2" customWidth="1"/>
    <col min="8" max="8" width="1.5703125" style="2" customWidth="1"/>
    <col min="9" max="9" width="19.140625" style="2" bestFit="1" customWidth="1"/>
    <col min="10" max="10" width="1.28515625" style="2" customWidth="1"/>
    <col min="11" max="11" width="19.7109375" style="2" customWidth="1"/>
    <col min="12" max="16384" width="11.42578125" style="2"/>
  </cols>
  <sheetData>
    <row r="1" spans="2:9" x14ac:dyDescent="0.2">
      <c r="B1" s="23" t="s">
        <v>48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spans="2:9" x14ac:dyDescent="0.2">
      <c r="B2" s="1" t="s">
        <v>5</v>
      </c>
      <c r="C2" s="1">
        <v>8</v>
      </c>
      <c r="D2" s="1">
        <v>25</v>
      </c>
      <c r="E2" s="1">
        <v>4</v>
      </c>
      <c r="F2" s="1">
        <v>63</v>
      </c>
      <c r="G2" s="1">
        <v>67</v>
      </c>
      <c r="H2" s="3"/>
      <c r="I2" s="1"/>
    </row>
    <row r="3" spans="2:9" x14ac:dyDescent="0.2">
      <c r="B3" s="1" t="s">
        <v>6</v>
      </c>
      <c r="C3" s="1">
        <v>2</v>
      </c>
      <c r="D3" s="1">
        <v>8</v>
      </c>
      <c r="E3" s="1">
        <v>1</v>
      </c>
      <c r="F3" s="1">
        <v>10</v>
      </c>
      <c r="G3" s="1">
        <v>30</v>
      </c>
      <c r="H3" s="3"/>
      <c r="I3" s="1"/>
    </row>
    <row r="4" spans="2:9" x14ac:dyDescent="0.2">
      <c r="B4" s="1" t="s">
        <v>7</v>
      </c>
      <c r="C4" s="1">
        <v>7</v>
      </c>
      <c r="D4" s="1">
        <v>7</v>
      </c>
      <c r="E4" s="1">
        <v>7</v>
      </c>
      <c r="F4" s="1">
        <v>7</v>
      </c>
      <c r="G4" s="1">
        <v>7</v>
      </c>
      <c r="H4" s="3"/>
      <c r="I4" s="1"/>
    </row>
    <row r="5" spans="2:9" x14ac:dyDescent="0.2">
      <c r="B5" s="1" t="s">
        <v>8</v>
      </c>
      <c r="C5" s="1">
        <v>3</v>
      </c>
      <c r="D5" s="1">
        <v>20</v>
      </c>
      <c r="E5" s="1">
        <v>6</v>
      </c>
      <c r="F5" s="1">
        <v>52</v>
      </c>
      <c r="G5" s="1">
        <v>16</v>
      </c>
      <c r="H5" s="3"/>
      <c r="I5" s="1"/>
    </row>
    <row r="6" spans="2:9" x14ac:dyDescent="0.2">
      <c r="B6" s="1" t="s">
        <v>9</v>
      </c>
      <c r="C6" s="1">
        <v>0.18</v>
      </c>
      <c r="D6" s="1">
        <v>0.18</v>
      </c>
      <c r="E6" s="1">
        <v>0.18</v>
      </c>
      <c r="F6" s="1">
        <v>0.18</v>
      </c>
      <c r="G6" s="1">
        <v>0.18</v>
      </c>
      <c r="H6" s="3"/>
      <c r="I6" s="1"/>
    </row>
    <row r="7" spans="2:9" x14ac:dyDescent="0.2">
      <c r="B7" s="1" t="s">
        <v>10</v>
      </c>
      <c r="C7" s="1">
        <v>4</v>
      </c>
      <c r="D7" s="1">
        <v>3</v>
      </c>
      <c r="E7" s="1">
        <v>5</v>
      </c>
      <c r="F7" s="1">
        <v>4</v>
      </c>
      <c r="G7" s="1">
        <v>2</v>
      </c>
      <c r="H7" s="3"/>
      <c r="I7" s="4">
        <f>+C7+D7+E7+F7+G7</f>
        <v>18</v>
      </c>
    </row>
    <row r="8" spans="2:9" x14ac:dyDescent="0.2">
      <c r="B8" s="1" t="s">
        <v>11</v>
      </c>
      <c r="C8" s="60">
        <v>25</v>
      </c>
      <c r="D8" s="61"/>
      <c r="E8" s="61"/>
      <c r="F8" s="61"/>
      <c r="G8" s="62"/>
      <c r="H8" s="3"/>
      <c r="I8" s="4">
        <f>+C8</f>
        <v>25</v>
      </c>
    </row>
    <row r="9" spans="2:9" x14ac:dyDescent="0.2">
      <c r="B9" s="1" t="s">
        <v>12</v>
      </c>
      <c r="C9" s="1">
        <v>365</v>
      </c>
      <c r="D9" s="1">
        <v>365</v>
      </c>
      <c r="E9" s="1">
        <v>365</v>
      </c>
      <c r="F9" s="1">
        <v>365</v>
      </c>
      <c r="G9" s="1">
        <v>365</v>
      </c>
      <c r="H9" s="3"/>
      <c r="I9" s="1"/>
    </row>
    <row r="10" spans="2:9" x14ac:dyDescent="0.2">
      <c r="B10" s="1" t="s">
        <v>13</v>
      </c>
      <c r="C10" s="1">
        <v>0.95</v>
      </c>
      <c r="D10" s="1">
        <v>0.95</v>
      </c>
      <c r="E10" s="1">
        <v>0.95</v>
      </c>
      <c r="F10" s="1">
        <v>0.95</v>
      </c>
      <c r="G10" s="1">
        <v>0.95</v>
      </c>
      <c r="H10" s="3"/>
      <c r="I10" s="1"/>
    </row>
    <row r="11" spans="2:9" x14ac:dyDescent="0.2">
      <c r="B11" s="1" t="s">
        <v>14</v>
      </c>
      <c r="C11" s="27">
        <f>+NORMSINV(C10)</f>
        <v>1.6448536269514715</v>
      </c>
      <c r="D11" s="1">
        <f t="shared" ref="D11:G11" si="0">+NORMSINV(D10)</f>
        <v>1.6448536269514715</v>
      </c>
      <c r="E11" s="1">
        <f t="shared" si="0"/>
        <v>1.6448536269514715</v>
      </c>
      <c r="F11" s="1">
        <f t="shared" si="0"/>
        <v>1.6448536269514715</v>
      </c>
      <c r="G11" s="1">
        <f t="shared" si="0"/>
        <v>1.6448536269514715</v>
      </c>
    </row>
    <row r="13" spans="2:9" x14ac:dyDescent="0.2">
      <c r="B13" s="1" t="s">
        <v>16</v>
      </c>
      <c r="C13" s="1">
        <f>+C9*C2</f>
        <v>2920</v>
      </c>
      <c r="D13" s="1">
        <f>+D9*D2</f>
        <v>9125</v>
      </c>
      <c r="E13" s="1">
        <f>+E9*E2</f>
        <v>1460</v>
      </c>
      <c r="F13" s="1">
        <f>+F9*F2</f>
        <v>22995</v>
      </c>
      <c r="G13" s="1">
        <f>+G9*G2</f>
        <v>24455</v>
      </c>
    </row>
    <row r="14" spans="2:9" x14ac:dyDescent="0.2">
      <c r="B14" s="1" t="s">
        <v>17</v>
      </c>
      <c r="C14" s="1">
        <f>+C13*C5</f>
        <v>8760</v>
      </c>
      <c r="D14" s="1">
        <f>+D13*D5</f>
        <v>182500</v>
      </c>
      <c r="E14" s="1">
        <f>+E13*E5</f>
        <v>8760</v>
      </c>
      <c r="F14" s="1">
        <f>+F13*F5</f>
        <v>1195740</v>
      </c>
      <c r="G14" s="1">
        <f>+G13*G5</f>
        <v>391280</v>
      </c>
      <c r="I14" s="5">
        <f>+C14+D14+E14+F14+G14</f>
        <v>1787040</v>
      </c>
    </row>
    <row r="16" spans="2:9" x14ac:dyDescent="0.2">
      <c r="B16" s="1" t="s">
        <v>18</v>
      </c>
      <c r="I16" s="1">
        <f>2*(I8+I7)</f>
        <v>86</v>
      </c>
    </row>
    <row r="17" spans="2:9" x14ac:dyDescent="0.2">
      <c r="B17" s="1" t="s">
        <v>19</v>
      </c>
      <c r="I17" s="1">
        <f>+I14*C6</f>
        <v>321667.20000000001</v>
      </c>
    </row>
    <row r="19" spans="2:9" x14ac:dyDescent="0.2">
      <c r="B19" s="1" t="s">
        <v>20</v>
      </c>
      <c r="C19" s="6">
        <f>+I19</f>
        <v>1.6351057142186091E-2</v>
      </c>
      <c r="D19" s="6">
        <f>+I19</f>
        <v>1.6351057142186091E-2</v>
      </c>
      <c r="E19" s="6">
        <f>I19</f>
        <v>1.6351057142186091E-2</v>
      </c>
      <c r="F19" s="6">
        <f>+I19</f>
        <v>1.6351057142186091E-2</v>
      </c>
      <c r="G19" s="6">
        <f>+I19</f>
        <v>1.6351057142186091E-2</v>
      </c>
      <c r="H19" s="7"/>
      <c r="I19" s="8">
        <f>+SQRT(I16/I17)</f>
        <v>1.6351057142186091E-2</v>
      </c>
    </row>
    <row r="20" spans="2:9" x14ac:dyDescent="0.2">
      <c r="B20" s="2" t="s">
        <v>21</v>
      </c>
      <c r="I20" s="8">
        <f>+I19*C9</f>
        <v>5.9681358568979235</v>
      </c>
    </row>
    <row r="22" spans="2:9" x14ac:dyDescent="0.2">
      <c r="B22" s="9" t="s">
        <v>21</v>
      </c>
      <c r="C22" s="10">
        <f>+ROUND($I$20,0)</f>
        <v>6</v>
      </c>
      <c r="D22" s="10">
        <f t="shared" ref="D22:F22" si="1">+ROUND($I$20,0)</f>
        <v>6</v>
      </c>
      <c r="E22" s="10">
        <f t="shared" si="1"/>
        <v>6</v>
      </c>
      <c r="F22" s="10">
        <f t="shared" si="1"/>
        <v>6</v>
      </c>
      <c r="G22" s="10">
        <f>+ROUND($I$20,0)</f>
        <v>6</v>
      </c>
      <c r="H22" s="11"/>
      <c r="I22" s="10">
        <f>+ROUND($I$20,0)</f>
        <v>6</v>
      </c>
    </row>
    <row r="24" spans="2:9" x14ac:dyDescent="0.2">
      <c r="B24" s="1" t="s">
        <v>14</v>
      </c>
      <c r="C24" s="1">
        <f>+NORMSINV(C10)</f>
        <v>1.6448536269514715</v>
      </c>
      <c r="D24" s="1">
        <f>+NORMSINV(D10)</f>
        <v>1.6448536269514715</v>
      </c>
      <c r="E24" s="1">
        <f>+NORMSINV(E10)</f>
        <v>1.6448536269514715</v>
      </c>
      <c r="F24" s="1">
        <f>+NORMSINV(F10)</f>
        <v>1.6448536269514715</v>
      </c>
      <c r="G24" s="1">
        <f>+NORMSINV(G10)</f>
        <v>1.6448536269514715</v>
      </c>
    </row>
    <row r="26" spans="2:9" x14ac:dyDescent="0.2">
      <c r="B26" s="1" t="s">
        <v>22</v>
      </c>
      <c r="C26" s="1">
        <f>+SQRT(C22+C4)*C3</f>
        <v>7.2111025509279782</v>
      </c>
      <c r="D26" s="1">
        <f>+SQRT(D22+D4)*D3</f>
        <v>28.844410203711913</v>
      </c>
      <c r="E26" s="1">
        <f>+SQRT(E22+E4)*E3</f>
        <v>3.6055512754639891</v>
      </c>
      <c r="F26" s="1">
        <f>+SQRT(F22+F4)*F3</f>
        <v>36.055512754639892</v>
      </c>
      <c r="G26" s="1">
        <f>+SQRT(G22+G4)*G3</f>
        <v>108.16653826391968</v>
      </c>
    </row>
    <row r="28" spans="2:9" x14ac:dyDescent="0.2">
      <c r="B28" s="1" t="s">
        <v>23</v>
      </c>
      <c r="C28" s="1">
        <f>+(C22+C4)*C2+C24*C26</f>
        <v>115.86120818521289</v>
      </c>
      <c r="D28" s="1">
        <f>+(D22+D4)*D2+D24*D26</f>
        <v>372.44483274085155</v>
      </c>
      <c r="E28" s="1">
        <f>E2*(E4+E22)+E24*E26</f>
        <v>57.930604092606444</v>
      </c>
      <c r="F28" s="1">
        <f>+(F22+F4)*F2+F24*F26</f>
        <v>878.3060409260645</v>
      </c>
      <c r="G28" s="1">
        <f>+(G22+G4)*G2+G24*G26</f>
        <v>1048.9181227781935</v>
      </c>
    </row>
    <row r="30" spans="2:9" x14ac:dyDescent="0.2">
      <c r="B30" s="1" t="s">
        <v>24</v>
      </c>
      <c r="C30" s="1">
        <f>+C24*C26</f>
        <v>11.861208185212893</v>
      </c>
      <c r="D30" s="1">
        <f>+D24*D26</f>
        <v>47.444832740851574</v>
      </c>
      <c r="E30" s="1">
        <f>E24*E26</f>
        <v>5.9306040926064467</v>
      </c>
      <c r="F30" s="1">
        <f>+F24*F26</f>
        <v>59.306040926064469</v>
      </c>
      <c r="G30" s="1">
        <f>+G24*G26</f>
        <v>177.91812277819341</v>
      </c>
    </row>
    <row r="32" spans="2:9" x14ac:dyDescent="0.2">
      <c r="B32" s="1" t="s">
        <v>25</v>
      </c>
      <c r="C32" s="12">
        <f>((C19*C13)/2+C30)</f>
        <v>35.733751612804589</v>
      </c>
      <c r="D32" s="12">
        <f>((D19*D13)/2+D30)</f>
        <v>122.04653095207561</v>
      </c>
      <c r="E32" s="12">
        <f>((E19*E13)/2+E30)</f>
        <v>17.866875806402295</v>
      </c>
      <c r="F32" s="12">
        <f>((F19*F13)/2+F30)</f>
        <v>247.30232041834907</v>
      </c>
      <c r="G32" s="12">
        <f>((G19*G13)/2+G30)</f>
        <v>377.85067398427384</v>
      </c>
    </row>
    <row r="33" spans="2:11" x14ac:dyDescent="0.2">
      <c r="C33" s="28"/>
    </row>
    <row r="34" spans="2:11" x14ac:dyDescent="0.2">
      <c r="B34" s="2" t="s">
        <v>26</v>
      </c>
      <c r="I34" s="2" t="s">
        <v>27</v>
      </c>
    </row>
    <row r="35" spans="2:11" x14ac:dyDescent="0.2">
      <c r="B35" s="1" t="s">
        <v>28</v>
      </c>
      <c r="C35" s="13">
        <f>+(C7)/C19</f>
        <v>244.63250083567448</v>
      </c>
      <c r="D35" s="13">
        <f>+(D7)/D19</f>
        <v>183.47437562675586</v>
      </c>
      <c r="E35" s="13">
        <f>+(E7)/E19</f>
        <v>305.79062604459307</v>
      </c>
      <c r="F35" s="13">
        <f>+(F7)/F19</f>
        <v>244.63250083567448</v>
      </c>
      <c r="G35" s="13">
        <f>+(G7)/G19</f>
        <v>122.31625041783724</v>
      </c>
      <c r="H35" s="14"/>
      <c r="I35" s="13">
        <f>+(I7+I8)/I19</f>
        <v>2629.7993839835003</v>
      </c>
      <c r="K35" s="15">
        <f>C35+D35+E35+F35+G35+C8/E19</f>
        <v>2629.7993839835008</v>
      </c>
    </row>
    <row r="36" spans="2:11" x14ac:dyDescent="0.2">
      <c r="B36" s="1" t="s">
        <v>29</v>
      </c>
      <c r="C36" s="13">
        <f>+C32*C6*C5</f>
        <v>19.296225870914476</v>
      </c>
      <c r="D36" s="13">
        <f>+D32*D6*D5</f>
        <v>439.36751142747221</v>
      </c>
      <c r="E36" s="13">
        <f>E32*E6*E5</f>
        <v>19.296225870914476</v>
      </c>
      <c r="F36" s="13">
        <f>F32*F6*F5</f>
        <v>2314.7497191157472</v>
      </c>
      <c r="G36" s="13">
        <f>G32*G6*G5</f>
        <v>1088.2099410747087</v>
      </c>
      <c r="H36" s="14"/>
      <c r="I36" s="13">
        <f>+C36+D36+E36+F36+G36</f>
        <v>3880.9196233597572</v>
      </c>
    </row>
    <row r="37" spans="2:11" hidden="1" x14ac:dyDescent="0.2">
      <c r="B37" s="1" t="s">
        <v>30</v>
      </c>
      <c r="C37" s="13" t="e">
        <f>+(1/C19)*C42*#REF!</f>
        <v>#REF!</v>
      </c>
      <c r="D37" s="13" t="e">
        <f>+(1/D19)*D42*#REF!</f>
        <v>#REF!</v>
      </c>
      <c r="E37" s="13" t="e">
        <f>E40*#REF!/E19</f>
        <v>#REF!</v>
      </c>
      <c r="F37" s="16"/>
      <c r="G37" s="16"/>
      <c r="H37" s="14"/>
      <c r="I37" s="13" t="e">
        <f>+C37+D37+E37</f>
        <v>#REF!</v>
      </c>
    </row>
    <row r="38" spans="2:11" x14ac:dyDescent="0.2">
      <c r="B38" s="17" t="s">
        <v>31</v>
      </c>
      <c r="C38" s="18"/>
      <c r="D38" s="18"/>
      <c r="E38" s="18"/>
      <c r="F38" s="18"/>
      <c r="G38" s="18"/>
      <c r="H38" s="18"/>
      <c r="I38" s="19">
        <f>+I35+I36</f>
        <v>6510.7190073432575</v>
      </c>
    </row>
    <row r="40" spans="2:11" hidden="1" x14ac:dyDescent="0.2">
      <c r="B40" s="9" t="s">
        <v>15</v>
      </c>
      <c r="C40" s="9">
        <v>0.112</v>
      </c>
      <c r="D40" s="9">
        <v>0.1004</v>
      </c>
      <c r="E40" s="9">
        <v>0.112</v>
      </c>
      <c r="F40" s="20"/>
      <c r="G40" s="20"/>
    </row>
    <row r="41" spans="2:11" ht="9.75" hidden="1" customHeight="1" x14ac:dyDescent="0.2"/>
    <row r="42" spans="2:11" hidden="1" x14ac:dyDescent="0.2">
      <c r="B42" s="1" t="s">
        <v>32</v>
      </c>
      <c r="C42" s="1">
        <f>+C40*C26</f>
        <v>0.80764348570393363</v>
      </c>
      <c r="D42" s="1">
        <f>+D40*D26</f>
        <v>2.8959787844526761</v>
      </c>
      <c r="E42" s="1">
        <f>E40*E26</f>
        <v>0.40382174285196681</v>
      </c>
      <c r="F42" s="3"/>
      <c r="G42" s="3"/>
    </row>
    <row r="43" spans="2:11" ht="4.5" hidden="1" customHeight="1" x14ac:dyDescent="0.2"/>
    <row r="44" spans="2:11" hidden="1" x14ac:dyDescent="0.2"/>
  </sheetData>
  <mergeCells count="1">
    <mergeCell ref="C8:G8"/>
  </mergeCells>
  <pageMargins left="0.39370078740157483" right="0.39370078740157483" top="0.39370078740157483" bottom="0.39370078740157483" header="0" footer="0"/>
  <pageSetup scale="7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67"/>
  <sheetViews>
    <sheetView tabSelected="1" zoomScale="110" zoomScaleNormal="110" workbookViewId="0">
      <selection activeCell="B13" sqref="B13:D13"/>
    </sheetView>
  </sheetViews>
  <sheetFormatPr baseColWidth="10" defaultRowHeight="18.75" x14ac:dyDescent="0.2"/>
  <cols>
    <col min="1" max="1" width="4.42578125" style="2" customWidth="1"/>
    <col min="2" max="2" width="38.42578125" style="2" bestFit="1" customWidth="1"/>
    <col min="3" max="3" width="21" style="2" bestFit="1" customWidth="1"/>
    <col min="4" max="4" width="18.7109375" style="2" customWidth="1"/>
    <col min="5" max="5" width="11.28515625" style="2" customWidth="1"/>
    <col min="6" max="6" width="22" style="2" customWidth="1"/>
    <col min="7" max="7" width="18.140625" style="2" customWidth="1"/>
    <col min="8" max="16384" width="11.42578125" style="2"/>
  </cols>
  <sheetData>
    <row r="1" spans="2:6" ht="19.5" thickBot="1" x14ac:dyDescent="0.25">
      <c r="B1" s="26" t="s">
        <v>51</v>
      </c>
    </row>
    <row r="2" spans="2:6" x14ac:dyDescent="0.2">
      <c r="B2" s="45" t="s">
        <v>79</v>
      </c>
      <c r="C2" s="1" t="s">
        <v>0</v>
      </c>
      <c r="D2" s="1" t="s">
        <v>1</v>
      </c>
      <c r="F2" s="69" t="s">
        <v>59</v>
      </c>
    </row>
    <row r="3" spans="2:6" ht="18.75" customHeight="1" thickBot="1" x14ac:dyDescent="0.25">
      <c r="B3" s="1" t="s">
        <v>64</v>
      </c>
      <c r="C3" s="1">
        <v>70</v>
      </c>
      <c r="D3" s="1">
        <v>50</v>
      </c>
      <c r="E3" s="3"/>
      <c r="F3" s="70"/>
    </row>
    <row r="4" spans="2:6" ht="18.75" hidden="1" customHeight="1" x14ac:dyDescent="0.2">
      <c r="B4" s="1" t="s">
        <v>33</v>
      </c>
      <c r="C4" s="1">
        <v>10</v>
      </c>
      <c r="D4" s="1">
        <v>30</v>
      </c>
      <c r="E4" s="3"/>
      <c r="F4" s="48"/>
    </row>
    <row r="5" spans="2:6" x14ac:dyDescent="0.2">
      <c r="B5" s="1" t="s">
        <v>57</v>
      </c>
      <c r="C5" s="1">
        <v>20</v>
      </c>
      <c r="D5" s="1">
        <v>5</v>
      </c>
      <c r="E5" s="3"/>
      <c r="F5" s="49"/>
    </row>
    <row r="6" spans="2:6" x14ac:dyDescent="0.2">
      <c r="B6" s="1" t="s">
        <v>56</v>
      </c>
      <c r="C6" s="1">
        <v>0.2</v>
      </c>
      <c r="D6" s="1">
        <v>0.2</v>
      </c>
      <c r="E6" s="3"/>
      <c r="F6" s="49"/>
    </row>
    <row r="7" spans="2:6" x14ac:dyDescent="0.2">
      <c r="B7" s="1" t="s">
        <v>58</v>
      </c>
      <c r="C7" s="1">
        <v>80</v>
      </c>
      <c r="D7" s="1">
        <v>390</v>
      </c>
      <c r="E7" s="3"/>
      <c r="F7" s="47">
        <f>+C7+D7</f>
        <v>470</v>
      </c>
    </row>
    <row r="8" spans="2:6" x14ac:dyDescent="0.2">
      <c r="B8" s="1" t="s">
        <v>54</v>
      </c>
      <c r="C8" s="61">
        <v>400</v>
      </c>
      <c r="D8" s="62"/>
      <c r="E8" s="3"/>
      <c r="F8" s="47">
        <f>+C8</f>
        <v>400</v>
      </c>
    </row>
    <row r="9" spans="2:6" x14ac:dyDescent="0.2">
      <c r="B9" s="1" t="s">
        <v>65</v>
      </c>
      <c r="C9" s="1">
        <v>52</v>
      </c>
      <c r="D9" s="1">
        <v>52</v>
      </c>
      <c r="E9" s="3"/>
      <c r="F9" s="52"/>
    </row>
    <row r="10" spans="2:6" hidden="1" x14ac:dyDescent="0.2">
      <c r="B10" s="1" t="s">
        <v>13</v>
      </c>
      <c r="C10" s="1">
        <v>0.95</v>
      </c>
      <c r="D10" s="1">
        <v>0.95</v>
      </c>
      <c r="E10" s="3"/>
      <c r="F10" s="51"/>
    </row>
    <row r="11" spans="2:6" hidden="1" x14ac:dyDescent="0.2">
      <c r="B11" s="1" t="s">
        <v>14</v>
      </c>
      <c r="C11" s="1">
        <f t="shared" ref="C11:D11" si="0">+NORMSINV(C10)</f>
        <v>1.6448536269514715</v>
      </c>
      <c r="D11" s="1">
        <f t="shared" si="0"/>
        <v>1.6448536269514715</v>
      </c>
      <c r="F11" s="41"/>
    </row>
    <row r="12" spans="2:6" x14ac:dyDescent="0.2">
      <c r="B12" s="1" t="s">
        <v>60</v>
      </c>
      <c r="C12" s="4">
        <f>+C5*C6</f>
        <v>4</v>
      </c>
      <c r="D12" s="4">
        <f>+D5*D6</f>
        <v>1</v>
      </c>
      <c r="F12" s="47">
        <f>+SUM(C12:D12)</f>
        <v>5</v>
      </c>
    </row>
    <row r="13" spans="2:6" x14ac:dyDescent="0.2">
      <c r="B13" s="71" t="s">
        <v>67</v>
      </c>
      <c r="C13" s="72"/>
      <c r="D13" s="73"/>
      <c r="F13" s="33"/>
    </row>
    <row r="14" spans="2:6" x14ac:dyDescent="0.2">
      <c r="B14" s="1" t="s">
        <v>61</v>
      </c>
      <c r="C14" s="47">
        <f>+C9*C3</f>
        <v>3640</v>
      </c>
      <c r="D14" s="47">
        <f>+D9*D3</f>
        <v>2600</v>
      </c>
      <c r="F14" s="33"/>
    </row>
    <row r="15" spans="2:6" x14ac:dyDescent="0.2">
      <c r="B15" s="1" t="s">
        <v>66</v>
      </c>
      <c r="C15" s="39">
        <f>+C14*C5</f>
        <v>72800</v>
      </c>
      <c r="D15" s="39">
        <f>+D14*D5</f>
        <v>13000</v>
      </c>
      <c r="F15" s="35">
        <f>+C15+D15</f>
        <v>85800</v>
      </c>
    </row>
    <row r="17" spans="2:6" x14ac:dyDescent="0.3">
      <c r="B17" s="43" t="s">
        <v>34</v>
      </c>
      <c r="C17" s="63" t="s">
        <v>35</v>
      </c>
      <c r="D17" s="63"/>
      <c r="E17" s="21"/>
    </row>
    <row r="19" spans="2:6" x14ac:dyDescent="0.3">
      <c r="B19" s="22" t="s">
        <v>36</v>
      </c>
      <c r="C19" s="30" t="s">
        <v>0</v>
      </c>
      <c r="D19" s="22" t="s">
        <v>1</v>
      </c>
      <c r="F19" s="22" t="s">
        <v>63</v>
      </c>
    </row>
    <row r="20" spans="2:6" ht="19.5" thickBot="1" x14ac:dyDescent="0.25">
      <c r="B20" s="1"/>
      <c r="C20" s="37">
        <f>+C7/C15</f>
        <v>1.0989010989010989E-3</v>
      </c>
      <c r="D20" s="36">
        <f>+D7/D15</f>
        <v>0.03</v>
      </c>
      <c r="E20" s="29"/>
      <c r="F20" s="54" t="str">
        <f>+C19</f>
        <v>Producto 1</v>
      </c>
    </row>
    <row r="21" spans="2:6" ht="19.5" thickBot="1" x14ac:dyDescent="0.25">
      <c r="C21" s="34" t="s">
        <v>37</v>
      </c>
      <c r="D21" s="29"/>
      <c r="E21" s="29"/>
      <c r="F21" s="29"/>
    </row>
    <row r="23" spans="2:6" x14ac:dyDescent="0.2">
      <c r="B23" s="44" t="s">
        <v>38</v>
      </c>
      <c r="C23" s="64" t="s">
        <v>39</v>
      </c>
      <c r="D23" s="64"/>
      <c r="E23" s="64"/>
    </row>
    <row r="25" spans="2:6" x14ac:dyDescent="0.3">
      <c r="B25" s="22" t="s">
        <v>36</v>
      </c>
      <c r="C25" s="30" t="s">
        <v>0</v>
      </c>
      <c r="D25" s="22" t="s">
        <v>1</v>
      </c>
    </row>
    <row r="26" spans="2:6" ht="19.5" thickBot="1" x14ac:dyDescent="0.25">
      <c r="B26" s="1"/>
      <c r="C26" s="50">
        <v>1</v>
      </c>
      <c r="D26" s="50">
        <f>+SQRT(D7/D15*($C$15/(C8+$C$7)))</f>
        <v>2.1330729007701543</v>
      </c>
    </row>
    <row r="27" spans="2:6" ht="19.5" thickBot="1" x14ac:dyDescent="0.35">
      <c r="C27" s="38">
        <f t="shared" ref="C27:D27" si="1">ROUND(C26,0)</f>
        <v>1</v>
      </c>
      <c r="D27" s="38">
        <f t="shared" si="1"/>
        <v>2</v>
      </c>
    </row>
    <row r="28" spans="2:6" ht="19.5" thickBot="1" x14ac:dyDescent="0.35">
      <c r="C28" s="65"/>
      <c r="D28" s="66"/>
    </row>
    <row r="30" spans="2:6" x14ac:dyDescent="0.2">
      <c r="B30" s="44" t="s">
        <v>40</v>
      </c>
      <c r="C30" s="64" t="s">
        <v>41</v>
      </c>
      <c r="D30" s="64"/>
      <c r="E30" s="31"/>
    </row>
    <row r="32" spans="2:6" x14ac:dyDescent="0.3">
      <c r="B32" s="22" t="s">
        <v>36</v>
      </c>
      <c r="C32" s="30" t="s">
        <v>0</v>
      </c>
      <c r="D32" s="22" t="s">
        <v>1</v>
      </c>
      <c r="F32" s="45" t="s">
        <v>55</v>
      </c>
    </row>
    <row r="33" spans="2:7" x14ac:dyDescent="0.2">
      <c r="B33" s="24" t="s">
        <v>42</v>
      </c>
      <c r="C33" s="47">
        <f>+C7/C27</f>
        <v>80</v>
      </c>
      <c r="D33" s="47">
        <f>+D7/D27</f>
        <v>195</v>
      </c>
      <c r="E33" s="29"/>
      <c r="F33" s="47">
        <f>+SUM(C33:D33)</f>
        <v>275</v>
      </c>
      <c r="G33" s="29">
        <v>72</v>
      </c>
    </row>
    <row r="34" spans="2:7" x14ac:dyDescent="0.2">
      <c r="B34" s="25" t="s">
        <v>43</v>
      </c>
      <c r="C34" s="47">
        <f t="shared" ref="C34:D34" si="2">+C27*C15</f>
        <v>72800</v>
      </c>
      <c r="D34" s="47">
        <f t="shared" si="2"/>
        <v>26000</v>
      </c>
      <c r="E34" s="29"/>
      <c r="F34" s="47">
        <f>+SUM(C34:D34)</f>
        <v>98800</v>
      </c>
      <c r="G34" s="41"/>
    </row>
    <row r="36" spans="2:7" hidden="1" x14ac:dyDescent="0.2">
      <c r="B36" s="1" t="s">
        <v>14</v>
      </c>
      <c r="C36" s="1">
        <f t="shared" ref="C36:D36" si="3">+NORMSINV(C10)</f>
        <v>1.6448536269514715</v>
      </c>
      <c r="D36" s="1">
        <f t="shared" si="3"/>
        <v>1.6448536269514715</v>
      </c>
    </row>
    <row r="37" spans="2:7" hidden="1" x14ac:dyDescent="0.2"/>
    <row r="38" spans="2:7" hidden="1" x14ac:dyDescent="0.2">
      <c r="B38" s="1" t="s">
        <v>49</v>
      </c>
      <c r="C38" s="1" t="e">
        <f>+SQRT($C$47*C27+#REF!)*C4</f>
        <v>#REF!</v>
      </c>
      <c r="D38" s="1" t="e">
        <f>+SQRT($C$47*D27+#REF!)*D4</f>
        <v>#REF!</v>
      </c>
    </row>
    <row r="39" spans="2:7" hidden="1" x14ac:dyDescent="0.2"/>
    <row r="40" spans="2:7" hidden="1" x14ac:dyDescent="0.2">
      <c r="B40" s="1" t="s">
        <v>23</v>
      </c>
      <c r="C40" s="1" t="e">
        <f>+(#REF!+$C$47*C27)*C3+C36*C38</f>
        <v>#REF!</v>
      </c>
      <c r="D40" s="1" t="e">
        <f>+(#REF!+$C$47*D27)*D3+D36*D38</f>
        <v>#REF!</v>
      </c>
    </row>
    <row r="41" spans="2:7" hidden="1" x14ac:dyDescent="0.2"/>
    <row r="42" spans="2:7" hidden="1" x14ac:dyDescent="0.2">
      <c r="B42" s="1" t="s">
        <v>24</v>
      </c>
      <c r="C42" s="1" t="e">
        <f>+C36*C38</f>
        <v>#REF!</v>
      </c>
      <c r="D42" s="1" t="e">
        <f>+D36*D38</f>
        <v>#REF!</v>
      </c>
    </row>
    <row r="43" spans="2:7" hidden="1" x14ac:dyDescent="0.2"/>
    <row r="44" spans="2:7" hidden="1" x14ac:dyDescent="0.2">
      <c r="B44" s="1" t="s">
        <v>25</v>
      </c>
      <c r="C44" s="12" t="e">
        <f>(($C$46*C27*C14)/2+C42)</f>
        <v>#REF!</v>
      </c>
      <c r="D44" s="12" t="e">
        <f>(($C$46*D27*D14)/2+D42)</f>
        <v>#REF!</v>
      </c>
    </row>
    <row r="46" spans="2:7" x14ac:dyDescent="0.2">
      <c r="B46" s="45" t="s">
        <v>44</v>
      </c>
      <c r="C46" s="40">
        <f>+SQRT((2*(C8+F33))/(C6*F34))</f>
        <v>0.2613806382589961</v>
      </c>
      <c r="D46" s="45" t="s">
        <v>45</v>
      </c>
    </row>
    <row r="47" spans="2:7" x14ac:dyDescent="0.2">
      <c r="B47" s="45" t="s">
        <v>44</v>
      </c>
      <c r="C47" s="42">
        <f>+ROUND(C46*D9,0)</f>
        <v>14</v>
      </c>
      <c r="D47" s="45" t="s">
        <v>62</v>
      </c>
    </row>
    <row r="49" spans="2:8" x14ac:dyDescent="0.2">
      <c r="B49" s="44" t="s">
        <v>71</v>
      </c>
      <c r="C49" s="64" t="s">
        <v>68</v>
      </c>
      <c r="D49" s="64"/>
    </row>
    <row r="50" spans="2:8" x14ac:dyDescent="0.3">
      <c r="B50" s="45" t="s">
        <v>69</v>
      </c>
      <c r="C50" s="30" t="s">
        <v>0</v>
      </c>
      <c r="D50" s="22" t="s">
        <v>1</v>
      </c>
      <c r="H50" s="29"/>
    </row>
    <row r="51" spans="2:8" x14ac:dyDescent="0.2">
      <c r="B51" s="1" t="s">
        <v>47</v>
      </c>
      <c r="C51" s="55">
        <f>+(C14*$C$46*C27*C12)/2</f>
        <v>1902.8510465254917</v>
      </c>
      <c r="D51" s="55">
        <f>+(D14*$C$46*D27*D12)/2</f>
        <v>679.58965947338982</v>
      </c>
      <c r="E51" s="29"/>
      <c r="F51" s="56">
        <f>SUM(C51:D51)</f>
        <v>2582.4407059988816</v>
      </c>
      <c r="G51" s="29"/>
    </row>
    <row r="52" spans="2:8" x14ac:dyDescent="0.2">
      <c r="B52" s="1" t="s">
        <v>46</v>
      </c>
      <c r="C52" s="55">
        <f>+C7/(C27*$C$46)</f>
        <v>306.06704663690442</v>
      </c>
      <c r="D52" s="55">
        <f>+D7/(D27*$C$46)</f>
        <v>746.03842617745454</v>
      </c>
      <c r="E52" s="29"/>
      <c r="F52" s="56">
        <f>SUM(C52:D52)</f>
        <v>1052.105472814359</v>
      </c>
      <c r="G52" s="68">
        <f>+F52+F53</f>
        <v>2582.4407059988807</v>
      </c>
    </row>
    <row r="53" spans="2:8" x14ac:dyDescent="0.2">
      <c r="B53" s="1" t="s">
        <v>50</v>
      </c>
      <c r="C53" s="75">
        <f>+C8/C46</f>
        <v>1530.3352331845219</v>
      </c>
      <c r="D53" s="75"/>
      <c r="E53" s="29"/>
      <c r="F53" s="56">
        <f>+C53</f>
        <v>1530.3352331845219</v>
      </c>
      <c r="G53" s="68"/>
    </row>
    <row r="54" spans="2:8" x14ac:dyDescent="0.2">
      <c r="B54" s="32" t="s">
        <v>52</v>
      </c>
      <c r="C54" s="29"/>
      <c r="D54" s="29"/>
      <c r="E54" s="29"/>
      <c r="F54" s="57">
        <f>+G52+F51</f>
        <v>5164.8814119977624</v>
      </c>
      <c r="G54" s="29"/>
    </row>
    <row r="55" spans="2:8" x14ac:dyDescent="0.2">
      <c r="F55" s="29"/>
      <c r="G55" s="29"/>
    </row>
    <row r="56" spans="2:8" hidden="1" x14ac:dyDescent="0.2">
      <c r="B56" s="1" t="s">
        <v>29</v>
      </c>
      <c r="C56" s="46" t="e">
        <f t="shared" ref="C56:D56" si="4">+C44*C12</f>
        <v>#REF!</v>
      </c>
      <c r="D56" s="46" t="e">
        <f t="shared" si="4"/>
        <v>#REF!</v>
      </c>
      <c r="F56" s="29"/>
      <c r="G56" s="29"/>
    </row>
    <row r="57" spans="2:8" ht="19.5" thickBot="1" x14ac:dyDescent="0.25">
      <c r="F57" s="29"/>
      <c r="G57" s="29"/>
    </row>
    <row r="58" spans="2:8" ht="19.5" thickBot="1" x14ac:dyDescent="0.25">
      <c r="B58" s="67" t="s">
        <v>53</v>
      </c>
      <c r="C58" s="67"/>
      <c r="D58" s="67"/>
      <c r="F58" s="58">
        <f>+G52+F51+F15</f>
        <v>90964.881411997761</v>
      </c>
      <c r="G58" s="29"/>
    </row>
    <row r="60" spans="2:8" x14ac:dyDescent="0.2">
      <c r="B60" s="44" t="s">
        <v>70</v>
      </c>
      <c r="C60" s="64" t="s">
        <v>73</v>
      </c>
      <c r="D60" s="64"/>
    </row>
    <row r="61" spans="2:8" x14ac:dyDescent="0.3">
      <c r="B61" s="45" t="s">
        <v>72</v>
      </c>
      <c r="C61" s="30" t="s">
        <v>0</v>
      </c>
      <c r="D61" s="22" t="s">
        <v>1</v>
      </c>
    </row>
    <row r="62" spans="2:8" x14ac:dyDescent="0.2">
      <c r="B62" s="1" t="s">
        <v>76</v>
      </c>
      <c r="C62" s="53">
        <f>+$C$47*C27</f>
        <v>14</v>
      </c>
      <c r="D62" s="53">
        <f>+$C$47*D27</f>
        <v>28</v>
      </c>
    </row>
    <row r="64" spans="2:8" x14ac:dyDescent="0.2">
      <c r="B64" s="26" t="s">
        <v>78</v>
      </c>
    </row>
    <row r="65" spans="2:4" x14ac:dyDescent="0.2">
      <c r="B65" s="44" t="s">
        <v>70</v>
      </c>
      <c r="C65" s="74" t="s">
        <v>77</v>
      </c>
      <c r="D65" s="74"/>
    </row>
    <row r="66" spans="2:4" x14ac:dyDescent="0.2">
      <c r="B66" s="1" t="s">
        <v>74</v>
      </c>
      <c r="C66" s="59">
        <f>+C9/C62</f>
        <v>3.7142857142857144</v>
      </c>
      <c r="D66" s="4">
        <f>+D9/D62</f>
        <v>1.8571428571428572</v>
      </c>
    </row>
    <row r="67" spans="2:4" x14ac:dyDescent="0.2">
      <c r="B67" s="1" t="s">
        <v>75</v>
      </c>
      <c r="C67" s="4">
        <f>+C3*C62</f>
        <v>980</v>
      </c>
      <c r="D67" s="4">
        <f>+D3*D62</f>
        <v>1400</v>
      </c>
    </row>
  </sheetData>
  <mergeCells count="13">
    <mergeCell ref="C60:D60"/>
    <mergeCell ref="C65:D65"/>
    <mergeCell ref="G52:G53"/>
    <mergeCell ref="C53:D53"/>
    <mergeCell ref="B58:D58"/>
    <mergeCell ref="F2:F3"/>
    <mergeCell ref="B13:D13"/>
    <mergeCell ref="C49:D49"/>
    <mergeCell ref="C8:D8"/>
    <mergeCell ref="C17:D17"/>
    <mergeCell ref="C23:E23"/>
    <mergeCell ref="C28:D28"/>
    <mergeCell ref="C30:D30"/>
  </mergeCells>
  <pageMargins left="0.25" right="0.25" top="0.75" bottom="0.75" header="0.3" footer="0.3"/>
  <pageSetup scale="6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111" r:id="rId4">
          <objectPr defaultSize="0" autoPict="0" r:id="rId5">
            <anchor moveWithCells="1">
              <from>
                <xdr:col>5</xdr:col>
                <xdr:colOff>0</xdr:colOff>
                <xdr:row>23</xdr:row>
                <xdr:rowOff>95250</xdr:rowOff>
              </from>
              <to>
                <xdr:col>6</xdr:col>
                <xdr:colOff>190500</xdr:colOff>
                <xdr:row>26</xdr:row>
                <xdr:rowOff>19050</xdr:rowOff>
              </to>
            </anchor>
          </objectPr>
        </oleObject>
      </mc:Choice>
      <mc:Fallback>
        <oleObject progId="Equation.3" shapeId="211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Complementaria 1</vt:lpstr>
      <vt:lpstr>QUIZ</vt:lpstr>
    </vt:vector>
  </TitlesOfParts>
  <Company>Uniandes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Bernardo</cp:lastModifiedBy>
  <cp:lastPrinted>2019-03-11T00:25:26Z</cp:lastPrinted>
  <dcterms:created xsi:type="dcterms:W3CDTF">2008-10-15T21:39:49Z</dcterms:created>
  <dcterms:modified xsi:type="dcterms:W3CDTF">2020-03-29T23:11:17Z</dcterms:modified>
</cp:coreProperties>
</file>